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7305" activeTab="0"/>
  </bookViews>
  <sheets>
    <sheet name="Home" sheetId="1" r:id="rId1"/>
    <sheet name="Subject Size" sheetId="2" r:id="rId2"/>
    <sheet name="Extension Tubes" sheetId="3" r:id="rId3"/>
    <sheet name="Diopters" sheetId="4" r:id="rId4"/>
  </sheets>
  <definedNames>
    <definedName name="Focal_Length">'Extension Tubes'!$B$5</definedName>
  </definedNames>
  <calcPr fullCalcOnLoad="1"/>
</workbook>
</file>

<file path=xl/sharedStrings.xml><?xml version="1.0" encoding="utf-8"?>
<sst xmlns="http://schemas.openxmlformats.org/spreadsheetml/2006/main" count="177" uniqueCount="120">
  <si>
    <t>Focal Length</t>
  </si>
  <si>
    <t>Extension Tube</t>
  </si>
  <si>
    <t>&lt;--in millimeters</t>
  </si>
  <si>
    <t>Magnification</t>
  </si>
  <si>
    <t xml:space="preserve"> </t>
  </si>
  <si>
    <t>:</t>
  </si>
  <si>
    <t>Tube</t>
  </si>
  <si>
    <t>Extension</t>
  </si>
  <si>
    <t>Focus Distance</t>
  </si>
  <si>
    <t>&lt;--in meters</t>
  </si>
  <si>
    <t>Magnification at Focus Distance</t>
  </si>
  <si>
    <t>Magnification at Infinity</t>
  </si>
  <si>
    <t>mm</t>
  </si>
  <si>
    <t>Actual Focus Distance</t>
  </si>
  <si>
    <t>Subject Size</t>
  </si>
  <si>
    <t>x</t>
  </si>
  <si>
    <t>&lt;--e.g. 0.25 for 1:4, 0.5 for 1:2, 1 for 1:1, 2 for 2:1, etc.</t>
  </si>
  <si>
    <t xml:space="preserve"> 1/16 </t>
  </si>
  <si>
    <t>=</t>
  </si>
  <si>
    <t xml:space="preserve"> 1/8</t>
  </si>
  <si>
    <t xml:space="preserve"> 3/16</t>
  </si>
  <si>
    <t xml:space="preserve"> 1/4</t>
  </si>
  <si>
    <t xml:space="preserve"> 5/16</t>
  </si>
  <si>
    <t xml:space="preserve"> 3/8</t>
  </si>
  <si>
    <t xml:space="preserve"> 1/2</t>
  </si>
  <si>
    <t xml:space="preserve"> 7/16</t>
  </si>
  <si>
    <t xml:space="preserve"> 9/16</t>
  </si>
  <si>
    <t xml:space="preserve"> 5/8</t>
  </si>
  <si>
    <t xml:space="preserve"> 11/16</t>
  </si>
  <si>
    <t xml:space="preserve"> 3/4</t>
  </si>
  <si>
    <t xml:space="preserve"> 13/16</t>
  </si>
  <si>
    <t xml:space="preserve"> 7/8</t>
  </si>
  <si>
    <t xml:space="preserve"> 15/16</t>
  </si>
  <si>
    <t>35mm (inches)</t>
  </si>
  <si>
    <t>35mm (mm)</t>
  </si>
  <si>
    <t>Aperture</t>
  </si>
  <si>
    <t>Effective Aperture</t>
  </si>
  <si>
    <t>f</t>
  </si>
  <si>
    <t>Diopter Calculations</t>
  </si>
  <si>
    <t>Diopter Value</t>
  </si>
  <si>
    <t>&lt;--e.g., 0.7, 1.5, 3.0, etc.</t>
  </si>
  <si>
    <t>Nikon Close-up Lenses</t>
  </si>
  <si>
    <t>Name</t>
  </si>
  <si>
    <t>Diopter</t>
  </si>
  <si>
    <t>3T</t>
  </si>
  <si>
    <t>4T</t>
  </si>
  <si>
    <t>5T</t>
  </si>
  <si>
    <t>6T</t>
  </si>
  <si>
    <t>Canon Close-up Lenses</t>
  </si>
  <si>
    <t>250D</t>
  </si>
  <si>
    <t>500D</t>
  </si>
  <si>
    <t>Size</t>
  </si>
  <si>
    <t>52mm</t>
  </si>
  <si>
    <t>62mm</t>
  </si>
  <si>
    <t>77mm</t>
  </si>
  <si>
    <t>Focal Length with Diopter</t>
  </si>
  <si>
    <t>Magnification at Infinity w/Diopter</t>
  </si>
  <si>
    <t>This spreadsheet calculates the magnification of a lens with a close-up lens</t>
  </si>
  <si>
    <t>attached as well as the actual focus distance with the lens at infinity.</t>
  </si>
  <si>
    <t>This spreadsheet calculates the size of an object based upon magnification.</t>
  </si>
  <si>
    <t>Macro Photography Calculations</t>
  </si>
  <si>
    <t>This workbook contains spreadsheets that help you with calculations helpful</t>
  </si>
  <si>
    <t>in macro photography. While there are many ways to use these spreadsheets,</t>
  </si>
  <si>
    <t>here's how I use them:</t>
  </si>
  <si>
    <t>I use the Subject Size spreadsheet to figure out what magnfication I need for a certain sized subject.</t>
  </si>
  <si>
    <t>Then I play with the Extension Tube or Diopter spreadsheet to figure out the combo I need</t>
  </si>
  <si>
    <t>to create that magnification.</t>
  </si>
  <si>
    <t>Extension Tube Magnification Calculator</t>
  </si>
  <si>
    <t>Feet to Meters</t>
  </si>
  <si>
    <t>Ft</t>
  </si>
  <si>
    <t>M</t>
  </si>
  <si>
    <t>Example:</t>
  </si>
  <si>
    <t>a half inch across to fill the frame. Enter numbers in the</t>
  </si>
  <si>
    <t>0.500 for the second number (horizontal axis).</t>
  </si>
  <si>
    <t>This spreadsheet calculates the magnification of an extension tube.</t>
  </si>
  <si>
    <t>Note that you can use this spreadsheet in several ways. Generally:</t>
  </si>
  <si>
    <t>1. Start by working the magnification ratio (enter focal length and extension tube numbers).</t>
  </si>
  <si>
    <t>2. When you have the magnification ratio about right, play with the focus distance (it may or</t>
  </si>
  <si>
    <t xml:space="preserve">    may not make a difference to magnification, depending upon lens and tube).</t>
  </si>
  <si>
    <t>3. Now enter the aperture you set on the camera and note the effective aperture (you may need it</t>
  </si>
  <si>
    <t xml:space="preserve">    if your extension tubes don't pass aperture information or you want to calculate depth of field).</t>
  </si>
  <si>
    <t xml:space="preserve">Since focus distance must be in meters for this spreadsheet, for convenience I've placed </t>
  </si>
  <si>
    <t>a foot-to-meters calculator off to the right.</t>
  </si>
  <si>
    <t>&lt;---shift amount due to focus (sometimes useful to know)</t>
  </si>
  <si>
    <t>Note: you enter data into cells that are green (all other cells are protected from changes).</t>
  </si>
  <si>
    <t>example</t>
  </si>
  <si>
    <t>This spreadsheet is for your personal use only, and may not be redistributed without permission.</t>
  </si>
  <si>
    <t>&lt;--enter data into</t>
  </si>
  <si>
    <t xml:space="preserve">    cells that look</t>
  </si>
  <si>
    <t xml:space="preserve">    like this.</t>
  </si>
  <si>
    <t>try it!</t>
  </si>
  <si>
    <t>Close-up lenses change both the effective focal length of a</t>
  </si>
  <si>
    <t>lens and the focus point.</t>
  </si>
  <si>
    <t>Enter the focal length of the lens you want to use, then consult</t>
  </si>
  <si>
    <t>the table at the right for the diopter value of the close-up lens you</t>
  </si>
  <si>
    <t xml:space="preserve">want to use and enter it. </t>
  </si>
  <si>
    <t>If you want to use multiple close-up lenses, the diopter values for</t>
  </si>
  <si>
    <t>each should be added together.</t>
  </si>
  <si>
    <t>Focus Distance (m)</t>
  </si>
  <si>
    <t>Focus Distance (ft)</t>
  </si>
  <si>
    <t>ft</t>
  </si>
  <si>
    <t>Extension Tubes</t>
  </si>
  <si>
    <t>Diopters</t>
  </si>
  <si>
    <t>Calculate magnification needed to achieve full frame subject of a certain size</t>
  </si>
  <si>
    <t>Calculate magnification, focus distance, and effective aperture using extension tubes</t>
  </si>
  <si>
    <t>Calculate magnification and focus distance using close up lenses (diopters)</t>
  </si>
  <si>
    <t>Version 1.0.1</t>
  </si>
  <si>
    <t>Kenko 12</t>
  </si>
  <si>
    <t>Kenko 20</t>
  </si>
  <si>
    <t>Kenko 25</t>
  </si>
  <si>
    <t>Kenko 36</t>
  </si>
  <si>
    <t>Nikon PK-11A</t>
  </si>
  <si>
    <t>Nikon PK-12</t>
  </si>
  <si>
    <t>Nikon PN-11</t>
  </si>
  <si>
    <t>Nikon PK-13</t>
  </si>
  <si>
    <t>from Thom Hogan's Complete Guides (www.bythom.com)</t>
  </si>
  <si>
    <t>magnification area until the Subject Size under 35mm (inches) shows</t>
  </si>
  <si>
    <t>(The example answer works out to approximately 2.9:1)</t>
  </si>
  <si>
    <t>You want a photograph of an insect that's</t>
  </si>
  <si>
    <t>Copyright 2003 Thom Hogan -- All Rights Reserved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</si>
</sst>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15" fontId="10" fillId="0" borderId="0" xfId="0" applyNumberFormat="1" applyFont="1" applyAlignment="1">
      <alignment/>
    </xf>
    <xf numFmtId="0" fontId="11" fillId="0" borderId="0" xfId="2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RowColHeaders="0" tabSelected="1" workbookViewId="0" topLeftCell="A1">
      <selection activeCell="J10" sqref="J10"/>
    </sheetView>
  </sheetViews>
  <sheetFormatPr defaultColWidth="9.140625" defaultRowHeight="12.75"/>
  <cols>
    <col min="8" max="8" width="9.421875" style="0" bestFit="1" customWidth="1"/>
  </cols>
  <sheetData>
    <row r="1" ht="18">
      <c r="A1" s="1" t="s">
        <v>60</v>
      </c>
    </row>
    <row r="3" spans="1:2" ht="12.75">
      <c r="A3" s="3" t="s">
        <v>61</v>
      </c>
      <c r="B3" s="3"/>
    </row>
    <row r="4" spans="1:2" ht="12.75">
      <c r="A4" s="3" t="s">
        <v>62</v>
      </c>
      <c r="B4" s="3"/>
    </row>
    <row r="5" spans="1:2" ht="12.75">
      <c r="A5" s="3" t="s">
        <v>63</v>
      </c>
      <c r="B5" s="3"/>
    </row>
    <row r="6" spans="1:2" ht="12.75">
      <c r="A6" s="3">
        <v>1</v>
      </c>
      <c r="B6" s="3" t="s">
        <v>64</v>
      </c>
    </row>
    <row r="7" spans="1:2" ht="12.75">
      <c r="A7" s="3">
        <v>2</v>
      </c>
      <c r="B7" s="3" t="s">
        <v>65</v>
      </c>
    </row>
    <row r="8" spans="1:2" ht="12.75">
      <c r="A8" s="3"/>
      <c r="B8" s="3" t="s">
        <v>66</v>
      </c>
    </row>
    <row r="10" spans="1:11" ht="12.75">
      <c r="A10" t="s">
        <v>84</v>
      </c>
      <c r="J10" s="29" t="s">
        <v>85</v>
      </c>
      <c r="K10" t="s">
        <v>87</v>
      </c>
    </row>
    <row r="11" spans="10:11" ht="12.75">
      <c r="J11" s="29" t="s">
        <v>90</v>
      </c>
      <c r="K11" t="s">
        <v>88</v>
      </c>
    </row>
    <row r="12" ht="12.75">
      <c r="K12" t="s">
        <v>89</v>
      </c>
    </row>
    <row r="14" spans="2:3" ht="12.75">
      <c r="B14" s="33" t="s">
        <v>14</v>
      </c>
      <c r="C14" t="s">
        <v>103</v>
      </c>
    </row>
    <row r="15" spans="2:3" ht="12.75">
      <c r="B15" s="33" t="s">
        <v>101</v>
      </c>
      <c r="C15" t="s">
        <v>104</v>
      </c>
    </row>
    <row r="16" spans="2:3" ht="12.75">
      <c r="B16" s="33" t="s">
        <v>102</v>
      </c>
      <c r="C16" t="s">
        <v>105</v>
      </c>
    </row>
    <row r="17" ht="12.75">
      <c r="B17" s="2"/>
    </row>
    <row r="19" spans="1:8" ht="12.75">
      <c r="A19" s="30" t="s">
        <v>119</v>
      </c>
      <c r="B19" s="30"/>
      <c r="C19" s="30"/>
      <c r="D19" s="30"/>
      <c r="E19" s="30"/>
      <c r="F19" s="30" t="s">
        <v>106</v>
      </c>
      <c r="G19" s="30"/>
      <c r="H19" s="32">
        <v>37593</v>
      </c>
    </row>
    <row r="20" ht="12.75">
      <c r="A20" s="21" t="s">
        <v>115</v>
      </c>
    </row>
    <row r="21" ht="12.75">
      <c r="A21" s="28" t="s">
        <v>86</v>
      </c>
    </row>
  </sheetData>
  <sheetProtection password="CE2D" sheet="1" objects="1" scenarios="1"/>
  <hyperlinks>
    <hyperlink ref="B14" location="'Subject Size'!A1" display="Subject Size"/>
    <hyperlink ref="B15" location="'Extension Tubes'!A1" display="Extension Tubes"/>
    <hyperlink ref="B16" location="Diopters!A1" display="Diopter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RowColHeaders="0" workbookViewId="0" topLeftCell="A1">
      <selection activeCell="B5" sqref="B5"/>
    </sheetView>
  </sheetViews>
  <sheetFormatPr defaultColWidth="9.140625" defaultRowHeight="12.75"/>
  <cols>
    <col min="1" max="1" width="23.421875" style="0" customWidth="1"/>
    <col min="3" max="3" width="1.7109375" style="0" customWidth="1"/>
    <col min="4" max="4" width="6.00390625" style="0" customWidth="1"/>
    <col min="5" max="5" width="6.57421875" style="0" customWidth="1"/>
    <col min="6" max="6" width="1.7109375" style="0" customWidth="1"/>
    <col min="7" max="7" width="7.7109375" style="0" customWidth="1"/>
    <col min="8" max="8" width="7.57421875" style="0" customWidth="1"/>
    <col min="9" max="9" width="2.421875" style="0" customWidth="1"/>
    <col min="10" max="10" width="6.57421875" style="0" customWidth="1"/>
    <col min="11" max="11" width="6.8515625" style="0" customWidth="1"/>
    <col min="12" max="12" width="2.00390625" style="0" customWidth="1"/>
  </cols>
  <sheetData>
    <row r="1" ht="18">
      <c r="A1" s="1" t="s">
        <v>14</v>
      </c>
    </row>
    <row r="3" ht="12.75">
      <c r="A3" t="s">
        <v>59</v>
      </c>
    </row>
    <row r="5" spans="1:3" ht="12.75">
      <c r="A5" s="2" t="s">
        <v>3</v>
      </c>
      <c r="B5" s="29">
        <v>2.9</v>
      </c>
      <c r="C5" t="s">
        <v>16</v>
      </c>
    </row>
    <row r="6" ht="12.75">
      <c r="A6" s="2"/>
    </row>
    <row r="7" spans="1:12" ht="12.75">
      <c r="A7" s="2"/>
      <c r="C7" s="16" t="s">
        <v>33</v>
      </c>
      <c r="F7" s="16" t="s">
        <v>34</v>
      </c>
      <c r="I7" s="16"/>
      <c r="J7" s="14"/>
      <c r="K7" s="14"/>
      <c r="L7" s="16"/>
    </row>
    <row r="8" spans="1:13" ht="12.75">
      <c r="A8" s="2" t="s">
        <v>14</v>
      </c>
      <c r="B8" s="10">
        <f>(15/16)/B5</f>
        <v>0.3232758620689655</v>
      </c>
      <c r="C8" s="3" t="s">
        <v>15</v>
      </c>
      <c r="D8" s="7">
        <f>(1+7/16)/B5</f>
        <v>0.4956896551724138</v>
      </c>
      <c r="E8" s="12">
        <f>24/B5</f>
        <v>8.275862068965518</v>
      </c>
      <c r="F8" s="3" t="s">
        <v>15</v>
      </c>
      <c r="G8" s="9">
        <f>36/B5</f>
        <v>12.413793103448276</v>
      </c>
      <c r="H8" s="10"/>
      <c r="I8" s="3"/>
      <c r="J8" s="7"/>
      <c r="K8" s="12"/>
      <c r="L8" s="3"/>
      <c r="M8" s="5"/>
    </row>
    <row r="9" ht="12.75">
      <c r="C9" s="3" t="s">
        <v>4</v>
      </c>
    </row>
    <row r="10" spans="2:7" ht="12.75">
      <c r="B10" s="17" t="s">
        <v>17</v>
      </c>
      <c r="C10" s="3" t="s">
        <v>18</v>
      </c>
      <c r="D10" s="19">
        <f>1/16</f>
        <v>0.0625</v>
      </c>
      <c r="G10" s="13" t="s">
        <v>71</v>
      </c>
    </row>
    <row r="11" spans="2:7" ht="12.75">
      <c r="B11" s="17" t="s">
        <v>19</v>
      </c>
      <c r="C11" s="3" t="s">
        <v>18</v>
      </c>
      <c r="D11" s="19">
        <f>1/8</f>
        <v>0.125</v>
      </c>
      <c r="G11" t="s">
        <v>118</v>
      </c>
    </row>
    <row r="12" spans="2:7" ht="12.75">
      <c r="B12" s="18" t="s">
        <v>20</v>
      </c>
      <c r="C12" s="3" t="s">
        <v>18</v>
      </c>
      <c r="D12" s="19">
        <f>3/16</f>
        <v>0.1875</v>
      </c>
      <c r="G12" t="s">
        <v>72</v>
      </c>
    </row>
    <row r="13" spans="2:7" ht="12.75">
      <c r="B13" s="17" t="s">
        <v>21</v>
      </c>
      <c r="C13" s="3" t="s">
        <v>18</v>
      </c>
      <c r="D13" s="19">
        <f>1/4</f>
        <v>0.25</v>
      </c>
      <c r="G13" t="s">
        <v>116</v>
      </c>
    </row>
    <row r="14" spans="2:7" ht="12.75">
      <c r="B14" s="17" t="s">
        <v>22</v>
      </c>
      <c r="C14" s="3" t="s">
        <v>18</v>
      </c>
      <c r="D14" s="19">
        <f>5/16</f>
        <v>0.3125</v>
      </c>
      <c r="G14" t="s">
        <v>73</v>
      </c>
    </row>
    <row r="15" spans="2:7" ht="12.75">
      <c r="B15" s="17" t="s">
        <v>23</v>
      </c>
      <c r="C15" s="3" t="s">
        <v>18</v>
      </c>
      <c r="D15" s="19">
        <f>3/8</f>
        <v>0.375</v>
      </c>
      <c r="G15" s="21" t="s">
        <v>117</v>
      </c>
    </row>
    <row r="16" spans="2:4" ht="12.75">
      <c r="B16" s="17" t="s">
        <v>25</v>
      </c>
      <c r="C16" s="3" t="s">
        <v>18</v>
      </c>
      <c r="D16" s="19">
        <f>7/16</f>
        <v>0.4375</v>
      </c>
    </row>
    <row r="17" spans="2:4" ht="12.75">
      <c r="B17" s="17" t="s">
        <v>24</v>
      </c>
      <c r="C17" s="3" t="s">
        <v>18</v>
      </c>
      <c r="D17" s="19">
        <f>1/2</f>
        <v>0.5</v>
      </c>
    </row>
    <row r="18" spans="2:4" ht="12.75">
      <c r="B18" s="17" t="s">
        <v>26</v>
      </c>
      <c r="C18" s="3" t="s">
        <v>18</v>
      </c>
      <c r="D18" s="19">
        <f>9/16</f>
        <v>0.5625</v>
      </c>
    </row>
    <row r="19" spans="2:4" ht="12.75">
      <c r="B19" s="17" t="s">
        <v>27</v>
      </c>
      <c r="C19" s="3" t="s">
        <v>18</v>
      </c>
      <c r="D19" s="19">
        <f>5/8</f>
        <v>0.625</v>
      </c>
    </row>
    <row r="20" spans="2:4" ht="12.75">
      <c r="B20" s="17" t="s">
        <v>28</v>
      </c>
      <c r="C20" s="3" t="s">
        <v>18</v>
      </c>
      <c r="D20" s="19">
        <f>11/16</f>
        <v>0.6875</v>
      </c>
    </row>
    <row r="21" spans="2:4" ht="12.75">
      <c r="B21" s="17" t="s">
        <v>29</v>
      </c>
      <c r="C21" s="3" t="s">
        <v>18</v>
      </c>
      <c r="D21" s="19">
        <f>3/4</f>
        <v>0.75</v>
      </c>
    </row>
    <row r="22" spans="2:4" ht="12.75">
      <c r="B22" s="17" t="s">
        <v>30</v>
      </c>
      <c r="C22" s="3" t="s">
        <v>18</v>
      </c>
      <c r="D22" s="19">
        <f>13/16</f>
        <v>0.8125</v>
      </c>
    </row>
    <row r="23" spans="2:4" ht="12.75">
      <c r="B23" s="17" t="s">
        <v>31</v>
      </c>
      <c r="C23" s="3" t="s">
        <v>18</v>
      </c>
      <c r="D23" s="19">
        <f>7/8</f>
        <v>0.875</v>
      </c>
    </row>
    <row r="24" spans="2:4" ht="12.75">
      <c r="B24" s="17" t="s">
        <v>32</v>
      </c>
      <c r="C24" s="3" t="s">
        <v>18</v>
      </c>
      <c r="D24" s="19">
        <f>15/16</f>
        <v>0.9375</v>
      </c>
    </row>
  </sheetData>
  <sheetProtection password="CE2D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RowColHeaders="0" workbookViewId="0" topLeftCell="A1">
      <selection activeCell="I6" sqref="I6"/>
    </sheetView>
  </sheetViews>
  <sheetFormatPr defaultColWidth="9.140625" defaultRowHeight="12.75"/>
  <cols>
    <col min="1" max="1" width="31.7109375" style="0" customWidth="1"/>
    <col min="3" max="3" width="0.9921875" style="0" customWidth="1"/>
    <col min="6" max="6" width="10.7109375" style="0" customWidth="1"/>
  </cols>
  <sheetData>
    <row r="1" ht="18">
      <c r="A1" s="1" t="s">
        <v>67</v>
      </c>
    </row>
    <row r="3" ht="12.75">
      <c r="A3" t="s">
        <v>74</v>
      </c>
    </row>
    <row r="5" spans="1:10" ht="12.75">
      <c r="A5" s="2" t="s">
        <v>0</v>
      </c>
      <c r="B5" s="29">
        <v>50</v>
      </c>
      <c r="F5" s="14" t="s">
        <v>6</v>
      </c>
      <c r="G5" s="14" t="s">
        <v>7</v>
      </c>
      <c r="I5" s="14" t="s">
        <v>68</v>
      </c>
      <c r="J5" s="14"/>
    </row>
    <row r="6" spans="1:10" ht="12.75">
      <c r="A6" s="2" t="s">
        <v>1</v>
      </c>
      <c r="B6" s="29">
        <v>25</v>
      </c>
      <c r="D6" t="s">
        <v>2</v>
      </c>
      <c r="F6" t="s">
        <v>111</v>
      </c>
      <c r="G6">
        <v>8</v>
      </c>
      <c r="H6" t="s">
        <v>12</v>
      </c>
      <c r="I6" s="29">
        <v>1</v>
      </c>
      <c r="J6" t="s">
        <v>69</v>
      </c>
    </row>
    <row r="7" spans="1:10" ht="12.75">
      <c r="A7" s="2" t="s">
        <v>8</v>
      </c>
      <c r="B7" s="29">
        <v>1000</v>
      </c>
      <c r="C7" t="s">
        <v>4</v>
      </c>
      <c r="D7" t="s">
        <v>9</v>
      </c>
      <c r="F7" t="s">
        <v>112</v>
      </c>
      <c r="G7">
        <v>14</v>
      </c>
      <c r="H7" t="s">
        <v>12</v>
      </c>
      <c r="I7">
        <f>I6*0.3048</f>
        <v>0.3048</v>
      </c>
      <c r="J7" t="s">
        <v>70</v>
      </c>
    </row>
    <row r="8" spans="1:8" ht="12.75">
      <c r="A8" s="2" t="s">
        <v>35</v>
      </c>
      <c r="B8" s="29">
        <v>2.8</v>
      </c>
      <c r="F8" t="s">
        <v>114</v>
      </c>
      <c r="G8">
        <v>27.5</v>
      </c>
      <c r="H8" t="s">
        <v>12</v>
      </c>
    </row>
    <row r="9" spans="1:8" ht="12.75">
      <c r="A9" s="2"/>
      <c r="F9" t="s">
        <v>113</v>
      </c>
      <c r="G9">
        <v>52.5</v>
      </c>
      <c r="H9" t="s">
        <v>12</v>
      </c>
    </row>
    <row r="10" spans="1:8" ht="12.75">
      <c r="A10" s="2" t="s">
        <v>10</v>
      </c>
      <c r="B10" s="12">
        <f>IF(B6/B5&lt;=1,1,((B6+D16)/B5))</f>
        <v>1</v>
      </c>
      <c r="C10" s="3" t="s">
        <v>5</v>
      </c>
      <c r="D10" s="9">
        <f>IF(B6/B5&lt;=1,B5/(B6+D16),1)</f>
        <v>1.9998000099995001</v>
      </c>
      <c r="F10" t="s">
        <v>107</v>
      </c>
      <c r="G10">
        <v>12</v>
      </c>
      <c r="H10" t="s">
        <v>12</v>
      </c>
    </row>
    <row r="11" spans="1:8" ht="12.75">
      <c r="A11" s="2" t="s">
        <v>13</v>
      </c>
      <c r="B11" s="12">
        <f>((B5*B5)/(B6+D16))+B5</f>
        <v>149.990000499975</v>
      </c>
      <c r="C11" s="3" t="s">
        <v>12</v>
      </c>
      <c r="D11" s="9"/>
      <c r="F11" t="s">
        <v>108</v>
      </c>
      <c r="G11">
        <v>20</v>
      </c>
      <c r="H11" t="s">
        <v>12</v>
      </c>
    </row>
    <row r="12" spans="1:8" ht="12.75">
      <c r="A12" s="2" t="s">
        <v>11</v>
      </c>
      <c r="B12" s="12">
        <f>IF(B6/B5&lt;=1,1,(B6/B5))</f>
        <v>1</v>
      </c>
      <c r="C12" s="3" t="s">
        <v>5</v>
      </c>
      <c r="D12" s="9">
        <f>IF(B6/B5&lt;=1,B5/B6,1)</f>
        <v>2</v>
      </c>
      <c r="F12" t="s">
        <v>109</v>
      </c>
      <c r="G12">
        <v>25</v>
      </c>
      <c r="H12" t="s">
        <v>12</v>
      </c>
    </row>
    <row r="13" spans="1:8" ht="12.75">
      <c r="A13" s="20" t="s">
        <v>36</v>
      </c>
      <c r="B13" s="2" t="s">
        <v>37</v>
      </c>
      <c r="C13" s="5" t="str">
        <f>"/"</f>
        <v>/</v>
      </c>
      <c r="D13" s="8">
        <f>((B6/B5)+1)*B8</f>
        <v>4.199999999999999</v>
      </c>
      <c r="F13" t="s">
        <v>110</v>
      </c>
      <c r="G13">
        <v>36</v>
      </c>
      <c r="H13" t="s">
        <v>12</v>
      </c>
    </row>
    <row r="14" spans="1:7" ht="12.75">
      <c r="A14" s="4" t="s">
        <v>4</v>
      </c>
      <c r="F14" t="s">
        <v>4</v>
      </c>
      <c r="G14" t="s">
        <v>4</v>
      </c>
    </row>
    <row r="15" spans="1:7" ht="12.75">
      <c r="A15" s="6"/>
      <c r="F15" t="s">
        <v>4</v>
      </c>
      <c r="G15" t="s">
        <v>4</v>
      </c>
    </row>
    <row r="16" spans="1:5" ht="12.75">
      <c r="A16" s="4" t="s">
        <v>4</v>
      </c>
      <c r="D16">
        <f>(Focal_Length*Focal_Length)/((B7*1000)-(Focal_Length))</f>
        <v>0.0025001250062503125</v>
      </c>
      <c r="E16" t="s">
        <v>83</v>
      </c>
    </row>
    <row r="17" ht="12.75">
      <c r="A17" s="4" t="s">
        <v>4</v>
      </c>
    </row>
    <row r="18" ht="12.75">
      <c r="B18" t="s">
        <v>75</v>
      </c>
    </row>
    <row r="19" ht="12.75">
      <c r="B19" t="s">
        <v>76</v>
      </c>
    </row>
    <row r="20" ht="12.75">
      <c r="B20" t="s">
        <v>77</v>
      </c>
    </row>
    <row r="21" ht="12.75">
      <c r="B21" t="s">
        <v>78</v>
      </c>
    </row>
    <row r="22" ht="12.75">
      <c r="B22" t="s">
        <v>79</v>
      </c>
    </row>
    <row r="23" ht="12.75">
      <c r="B23" t="s">
        <v>80</v>
      </c>
    </row>
    <row r="25" ht="12.75">
      <c r="B25" t="s">
        <v>81</v>
      </c>
    </row>
    <row r="26" ht="12.75">
      <c r="B26" t="s">
        <v>82</v>
      </c>
    </row>
  </sheetData>
  <sheetProtection password="CE2D"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1.28125" style="0" customWidth="1"/>
    <col min="2" max="2" width="10.57421875" style="0" bestFit="1" customWidth="1"/>
    <col min="3" max="3" width="1.7109375" style="0" customWidth="1"/>
    <col min="5" max="5" width="11.00390625" style="0" customWidth="1"/>
    <col min="8" max="8" width="7.28125" style="0" customWidth="1"/>
    <col min="9" max="9" width="10.57421875" style="0" bestFit="1" customWidth="1"/>
  </cols>
  <sheetData>
    <row r="1" ht="18">
      <c r="A1" s="1" t="s">
        <v>38</v>
      </c>
    </row>
    <row r="3" spans="1:8" ht="12.75">
      <c r="A3" t="s">
        <v>57</v>
      </c>
      <c r="F3" s="3" t="s">
        <v>41</v>
      </c>
      <c r="G3" s="3"/>
      <c r="H3" s="3"/>
    </row>
    <row r="4" spans="1:9" ht="12.75">
      <c r="A4" t="s">
        <v>58</v>
      </c>
      <c r="F4" s="22" t="s">
        <v>42</v>
      </c>
      <c r="G4" s="23" t="s">
        <v>43</v>
      </c>
      <c r="H4" s="24" t="s">
        <v>51</v>
      </c>
      <c r="I4" s="25" t="s">
        <v>0</v>
      </c>
    </row>
    <row r="5" spans="6:10" ht="12.75">
      <c r="F5" s="17">
        <v>0</v>
      </c>
      <c r="G5" s="15">
        <v>0.7</v>
      </c>
      <c r="H5" t="s">
        <v>52</v>
      </c>
      <c r="I5" s="26">
        <f>(1/G5)*1000</f>
        <v>1428.5714285714287</v>
      </c>
      <c r="J5" t="s">
        <v>12</v>
      </c>
    </row>
    <row r="6" spans="1:10" ht="12.75">
      <c r="A6" s="2" t="s">
        <v>0</v>
      </c>
      <c r="B6" s="29">
        <v>200</v>
      </c>
      <c r="F6" s="17">
        <v>1</v>
      </c>
      <c r="G6" s="15">
        <v>1.5</v>
      </c>
      <c r="H6" t="s">
        <v>52</v>
      </c>
      <c r="I6" s="26">
        <f aca="true" t="shared" si="0" ref="I6:I11">(1/G6)*1000</f>
        <v>666.6666666666666</v>
      </c>
      <c r="J6" t="s">
        <v>12</v>
      </c>
    </row>
    <row r="7" spans="1:10" ht="12.75">
      <c r="A7" s="2" t="s">
        <v>39</v>
      </c>
      <c r="B7" s="29">
        <v>0.7</v>
      </c>
      <c r="C7" t="s">
        <v>40</v>
      </c>
      <c r="F7" s="17">
        <v>2</v>
      </c>
      <c r="G7" s="15">
        <v>3</v>
      </c>
      <c r="H7" t="s">
        <v>52</v>
      </c>
      <c r="I7" s="26">
        <f t="shared" si="0"/>
        <v>333.3333333333333</v>
      </c>
      <c r="J7" t="s">
        <v>12</v>
      </c>
    </row>
    <row r="8" spans="1:10" ht="12.75">
      <c r="A8" s="2"/>
      <c r="B8" s="27"/>
      <c r="F8" s="17" t="s">
        <v>44</v>
      </c>
      <c r="G8" s="15">
        <v>1.5</v>
      </c>
      <c r="H8" t="s">
        <v>52</v>
      </c>
      <c r="I8" s="26">
        <f t="shared" si="0"/>
        <v>666.6666666666666</v>
      </c>
      <c r="J8" t="s">
        <v>12</v>
      </c>
    </row>
    <row r="9" spans="1:10" ht="12.75">
      <c r="A9" s="2" t="s">
        <v>55</v>
      </c>
      <c r="B9" s="26">
        <f>(B6*((1/B7)*1000))/(B6+((1/B7)*1000))</f>
        <v>175.43859649122808</v>
      </c>
      <c r="C9" t="s">
        <v>12</v>
      </c>
      <c r="F9" s="17" t="s">
        <v>45</v>
      </c>
      <c r="G9" s="15">
        <v>2.9</v>
      </c>
      <c r="H9" t="s">
        <v>52</v>
      </c>
      <c r="I9" s="26">
        <f t="shared" si="0"/>
        <v>344.82758620689657</v>
      </c>
      <c r="J9" t="s">
        <v>12</v>
      </c>
    </row>
    <row r="10" spans="1:10" ht="12.75">
      <c r="A10" s="2" t="s">
        <v>56</v>
      </c>
      <c r="B10" s="12">
        <f>IF((B6/B9)-1&lt;=1,1,(1/((B6/B9)-1)))</f>
        <v>1</v>
      </c>
      <c r="C10" s="3" t="s">
        <v>5</v>
      </c>
      <c r="D10" s="9">
        <f>IF((B6/B9)-1&gt;1,1,(1/((B6/B9)-1)))</f>
        <v>7.142857142857148</v>
      </c>
      <c r="F10" s="17" t="s">
        <v>46</v>
      </c>
      <c r="G10" s="15">
        <v>1.5</v>
      </c>
      <c r="H10" t="s">
        <v>53</v>
      </c>
      <c r="I10" s="26">
        <f t="shared" si="0"/>
        <v>666.6666666666666</v>
      </c>
      <c r="J10" t="s">
        <v>12</v>
      </c>
    </row>
    <row r="11" spans="1:10" ht="12.75">
      <c r="A11" s="2" t="s">
        <v>98</v>
      </c>
      <c r="B11" s="12">
        <f>B9*((1/((B6/B9)-1))+(((B6/B9)-1)+2))</f>
        <v>1628.5714285714294</v>
      </c>
      <c r="C11" s="3" t="s">
        <v>12</v>
      </c>
      <c r="D11" s="9"/>
      <c r="F11" s="17" t="s">
        <v>47</v>
      </c>
      <c r="G11" s="15">
        <v>2.9</v>
      </c>
      <c r="H11" t="s">
        <v>53</v>
      </c>
      <c r="I11" s="26">
        <f t="shared" si="0"/>
        <v>344.82758620689657</v>
      </c>
      <c r="J11" t="s">
        <v>12</v>
      </c>
    </row>
    <row r="12" spans="1:7" ht="12.75">
      <c r="A12" s="2" t="s">
        <v>99</v>
      </c>
      <c r="B12" s="11">
        <f>(B11/1000)*3.28083</f>
        <v>5.343066000000003</v>
      </c>
      <c r="C12" s="3" t="s">
        <v>100</v>
      </c>
      <c r="D12" s="3"/>
      <c r="F12" s="3" t="s">
        <v>48</v>
      </c>
      <c r="G12" s="3"/>
    </row>
    <row r="13" spans="6:8" ht="12.75">
      <c r="F13" s="22" t="s">
        <v>42</v>
      </c>
      <c r="G13" s="23" t="s">
        <v>43</v>
      </c>
      <c r="H13" s="24" t="s">
        <v>51</v>
      </c>
    </row>
    <row r="14" spans="1:10" ht="12.75">
      <c r="A14" s="31" t="s">
        <v>91</v>
      </c>
      <c r="F14" s="17" t="s">
        <v>49</v>
      </c>
      <c r="G14" s="15">
        <v>4</v>
      </c>
      <c r="H14" t="s">
        <v>54</v>
      </c>
      <c r="I14" s="26">
        <f>(1/G14)*1000</f>
        <v>250</v>
      </c>
      <c r="J14" t="s">
        <v>12</v>
      </c>
    </row>
    <row r="15" spans="1:10" ht="12.75">
      <c r="A15" s="31" t="s">
        <v>92</v>
      </c>
      <c r="F15" s="17" t="s">
        <v>50</v>
      </c>
      <c r="G15" s="15">
        <v>2</v>
      </c>
      <c r="H15" t="s">
        <v>54</v>
      </c>
      <c r="I15" s="26">
        <f>(1/G15)*1000</f>
        <v>500</v>
      </c>
      <c r="J15" t="s">
        <v>12</v>
      </c>
    </row>
    <row r="16" spans="1:9" ht="12.75">
      <c r="A16" s="31"/>
      <c r="G16" s="15"/>
      <c r="I16" s="26"/>
    </row>
    <row r="17" ht="12.75">
      <c r="A17" s="31" t="s">
        <v>93</v>
      </c>
    </row>
    <row r="18" ht="12.75">
      <c r="A18" s="31" t="s">
        <v>94</v>
      </c>
    </row>
    <row r="19" ht="12.75">
      <c r="A19" s="31" t="s">
        <v>95</v>
      </c>
    </row>
    <row r="21" ht="12.75">
      <c r="A21" s="31" t="s">
        <v>96</v>
      </c>
    </row>
    <row r="22" ht="12.75">
      <c r="A22" s="31" t="s">
        <v>97</v>
      </c>
    </row>
  </sheetData>
  <sheetProtection password="CE2D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bythom.com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 Hogan</dc:creator>
  <cp:keywords/>
  <dc:description/>
  <cp:lastModifiedBy>Thom Hogan</cp:lastModifiedBy>
  <dcterms:created xsi:type="dcterms:W3CDTF">2001-08-23T20:48:31Z</dcterms:created>
  <dcterms:modified xsi:type="dcterms:W3CDTF">2003-07-07T15:44:00Z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